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e\Alex\Meister\Schule\"/>
    </mc:Choice>
  </mc:AlternateContent>
  <bookViews>
    <workbookView xWindow="0" yWindow="0" windowWidth="28800" windowHeight="12585" activeTab="1"/>
  </bookViews>
  <sheets>
    <sheet name="Aufgaben-Werte " sheetId="17" r:id="rId1"/>
    <sheet name="Tagesberechnung" sheetId="19" r:id="rId2"/>
    <sheet name="SVS" sheetId="20" r:id="rId3"/>
  </sheets>
  <definedNames>
    <definedName name="OLE_LINK4" localSheetId="0">'Aufgaben-Werte '!$B$5</definedName>
    <definedName name="OLE_LINK4" localSheetId="2">SVS!$B$4</definedName>
    <definedName name="OLE_LINK4" localSheetId="1">Tagesberechnung!$B$3</definedName>
  </definedNames>
  <calcPr calcId="152511"/>
</workbook>
</file>

<file path=xl/calcChain.xml><?xml version="1.0" encoding="utf-8"?>
<calcChain xmlns="http://schemas.openxmlformats.org/spreadsheetml/2006/main">
  <c r="C11" i="19" l="1"/>
  <c r="D17" i="19"/>
  <c r="E17" i="19"/>
  <c r="F17" i="19"/>
  <c r="C17" i="19"/>
  <c r="D15" i="19"/>
  <c r="E15" i="19"/>
  <c r="F15" i="19"/>
  <c r="C15" i="19"/>
  <c r="D12" i="19"/>
  <c r="E12" i="19"/>
  <c r="F12" i="19"/>
  <c r="C12" i="19"/>
  <c r="E14" i="17"/>
  <c r="E13" i="19" s="1"/>
  <c r="E6" i="20" s="1"/>
  <c r="D14" i="17"/>
  <c r="D13" i="19" s="1"/>
  <c r="D6" i="20" s="1"/>
  <c r="F14" i="17"/>
  <c r="F13" i="19" s="1"/>
  <c r="F6" i="20" s="1"/>
  <c r="C14" i="17"/>
  <c r="D13" i="17"/>
  <c r="E13" i="17"/>
  <c r="F13" i="17"/>
  <c r="C13" i="17"/>
  <c r="I22" i="20"/>
  <c r="I26" i="20"/>
  <c r="F8" i="17"/>
  <c r="C3" i="19"/>
  <c r="D3" i="19"/>
  <c r="E3" i="19"/>
  <c r="F3" i="19"/>
  <c r="F4" i="20"/>
  <c r="F8" i="20"/>
  <c r="F9" i="19"/>
  <c r="F8" i="19"/>
  <c r="F7" i="19"/>
  <c r="F5" i="19"/>
  <c r="F6" i="19" s="1"/>
  <c r="F7" i="20" s="1"/>
  <c r="E7" i="17"/>
  <c r="E8" i="17" s="1"/>
  <c r="D7" i="17"/>
  <c r="D8" i="17" s="1"/>
  <c r="C7" i="17"/>
  <c r="C8" i="17" s="1"/>
  <c r="I12" i="20"/>
  <c r="C8" i="20"/>
  <c r="I18" i="20"/>
  <c r="I19" i="20"/>
  <c r="I20" i="20"/>
  <c r="I17" i="20"/>
  <c r="I15" i="20"/>
  <c r="E15" i="20" s="1"/>
  <c r="I13" i="20"/>
  <c r="I10" i="20"/>
  <c r="D4" i="20"/>
  <c r="E4" i="20"/>
  <c r="C4" i="20"/>
  <c r="I21" i="20"/>
  <c r="I24" i="20"/>
  <c r="K24" i="20" s="1"/>
  <c r="D8" i="20"/>
  <c r="E8" i="20"/>
  <c r="C7" i="19"/>
  <c r="D7" i="19"/>
  <c r="E7" i="19"/>
  <c r="C9" i="19"/>
  <c r="D9" i="19"/>
  <c r="E9" i="19"/>
  <c r="D8" i="19"/>
  <c r="E8" i="19"/>
  <c r="C8" i="19"/>
  <c r="D5" i="19"/>
  <c r="D6" i="19" s="1"/>
  <c r="D7" i="20" s="1"/>
  <c r="E5" i="19"/>
  <c r="E6" i="19" s="1"/>
  <c r="C5" i="19"/>
  <c r="C6" i="19"/>
  <c r="C7" i="20" s="1"/>
  <c r="D22" i="17"/>
  <c r="D23" i="17"/>
  <c r="D24" i="17"/>
  <c r="D21" i="17"/>
  <c r="C13" i="19" l="1"/>
  <c r="C6" i="20" s="1"/>
  <c r="G6" i="20" s="1"/>
  <c r="J15" i="20"/>
  <c r="E7" i="20"/>
  <c r="E9" i="20" s="1"/>
  <c r="F9" i="20"/>
  <c r="D9" i="20"/>
  <c r="F10" i="19"/>
  <c r="C9" i="20"/>
  <c r="C10" i="20" s="1"/>
  <c r="C10" i="19"/>
  <c r="D15" i="20"/>
  <c r="C15" i="20"/>
  <c r="E10" i="19"/>
  <c r="D10" i="19"/>
  <c r="I23" i="20"/>
  <c r="F16" i="19" l="1"/>
  <c r="F11" i="19"/>
  <c r="D16" i="19"/>
  <c r="D11" i="19"/>
  <c r="E16" i="19"/>
  <c r="E11" i="19"/>
  <c r="C16" i="19"/>
  <c r="F10" i="20"/>
  <c r="F11" i="20" s="1"/>
  <c r="E10" i="20"/>
  <c r="E11" i="20" s="1"/>
  <c r="D10" i="20"/>
  <c r="D11" i="20" s="1"/>
  <c r="F14" i="19"/>
  <c r="C14" i="19"/>
  <c r="E14" i="19"/>
  <c r="D14" i="19"/>
  <c r="G9" i="20"/>
  <c r="C11" i="20"/>
  <c r="E13" i="20" l="1"/>
  <c r="E12" i="20"/>
  <c r="E14" i="20" s="1"/>
  <c r="D13" i="20"/>
  <c r="D12" i="20"/>
  <c r="F13" i="20"/>
  <c r="F12" i="20"/>
  <c r="C13" i="20"/>
  <c r="C12" i="20"/>
  <c r="C14" i="20" s="1"/>
  <c r="J10" i="20"/>
  <c r="K11" i="20" s="1"/>
  <c r="F14" i="20"/>
  <c r="D14" i="20" l="1"/>
  <c r="J12" i="20"/>
  <c r="K12" i="20" s="1"/>
  <c r="J13" i="20"/>
  <c r="L13" i="20" l="1"/>
  <c r="K13" i="20"/>
  <c r="K16" i="20" s="1"/>
  <c r="J22" i="20" s="1"/>
  <c r="J20" i="20" l="1"/>
  <c r="J21" i="20"/>
  <c r="J18" i="20"/>
  <c r="J17" i="20"/>
  <c r="J23" i="20" s="1"/>
  <c r="K23" i="20" s="1"/>
  <c r="J25" i="20" s="1"/>
  <c r="K26" i="20" s="1"/>
  <c r="K27" i="20" s="1"/>
  <c r="J28" i="20" s="1"/>
  <c r="J19" i="20"/>
</calcChain>
</file>

<file path=xl/sharedStrings.xml><?xml version="1.0" encoding="utf-8"?>
<sst xmlns="http://schemas.openxmlformats.org/spreadsheetml/2006/main" count="70" uniqueCount="51">
  <si>
    <t>Tägliche Arbeitszeit</t>
  </si>
  <si>
    <t>Gemeinkosten</t>
  </si>
  <si>
    <t>Gewinn</t>
  </si>
  <si>
    <t>Stundenlohn</t>
  </si>
  <si>
    <t>Urlaub</t>
  </si>
  <si>
    <t>Feiertage</t>
  </si>
  <si>
    <t>Krank / Weiterbildung</t>
  </si>
  <si>
    <t>Krankenversicherung</t>
  </si>
  <si>
    <t>Rentenversicherung</t>
  </si>
  <si>
    <t>Arbeitslosenversicherung</t>
  </si>
  <si>
    <t>Pflegeversicherung</t>
  </si>
  <si>
    <t>Unfallversicherung</t>
  </si>
  <si>
    <t>Lohnfortzahlung</t>
  </si>
  <si>
    <t>Urlaubsgeld</t>
  </si>
  <si>
    <t>Weihnachtsgeld</t>
  </si>
  <si>
    <t>VWL 100% AG</t>
  </si>
  <si>
    <t xml:space="preserve">Lohnerhöhung </t>
  </si>
  <si>
    <t>Kalendertage im Jahr</t>
  </si>
  <si>
    <t>Mögliche Anwesenheitstage</t>
  </si>
  <si>
    <t>Bruttolohn</t>
  </si>
  <si>
    <t>Selbstkosten</t>
  </si>
  <si>
    <t>Produktive Stunden</t>
  </si>
  <si>
    <t>Produktive Tage (geplant)</t>
  </si>
  <si>
    <t>Produktive Stunden geplant</t>
  </si>
  <si>
    <t>SVS</t>
  </si>
  <si>
    <t>Produktive Tage</t>
  </si>
  <si>
    <t>Bezahlte Tage</t>
  </si>
  <si>
    <t>Bezahlte Arbeitstage</t>
  </si>
  <si>
    <t xml:space="preserve">                                                                                                                                                                </t>
  </si>
  <si>
    <t>Soll-Umsatz-Erlöse</t>
  </si>
  <si>
    <t>Aufgabenwerte</t>
  </si>
  <si>
    <t>AG-Anteil</t>
  </si>
  <si>
    <t>AN-Anteil</t>
  </si>
  <si>
    <t>Lohnerhöhung</t>
  </si>
  <si>
    <t>Vwl</t>
  </si>
  <si>
    <t>Brüls</t>
  </si>
  <si>
    <t>Klein</t>
  </si>
  <si>
    <t>Göderz</t>
  </si>
  <si>
    <t>Ausfalltage geplant</t>
  </si>
  <si>
    <t>Ausfallstunden geplant</t>
  </si>
  <si>
    <t>Hilfslohntage geplant</t>
  </si>
  <si>
    <t>Hilfslohnstunden geplant</t>
  </si>
  <si>
    <t>Gewinnzuschlag in %</t>
  </si>
  <si>
    <t>Gemeinkosten in €</t>
  </si>
  <si>
    <t>Angaben in %</t>
  </si>
  <si>
    <t>Wochenenden (37,5 Std. Woche)</t>
  </si>
  <si>
    <t>Mögliche Anwesenheitsstunden</t>
  </si>
  <si>
    <t>SVS Berechnung in €</t>
  </si>
  <si>
    <t>Tages- Stundenberechnung</t>
  </si>
  <si>
    <t>Summe Einzelkosten/Fertigungslöhne</t>
  </si>
  <si>
    <t>Anwesenheit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</si>
</sst>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0.0000"/>
    <numFmt numFmtId="166" formatCode="#,##0.00_ ;[Red]\-#,##0.00\ "/>
    <numFmt numFmtId="167" formatCode="#,##0.00_ ;\-#,##0.00\ "/>
    <numFmt numFmtId="168" formatCode="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4" fontId="2" fillId="0" borderId="0" xfId="0" applyNumberFormat="1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44" fontId="2" fillId="2" borderId="0" xfId="0" applyNumberFormat="1" applyFont="1" applyFill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10" fontId="2" fillId="2" borderId="14" xfId="1" applyNumberFormat="1" applyFont="1" applyFill="1" applyBorder="1" applyAlignment="1">
      <alignment horizontal="center" vertical="center" wrapText="1"/>
    </xf>
    <xf numFmtId="44" fontId="2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8" fontId="2" fillId="2" borderId="16" xfId="2" applyNumberFormat="1" applyFont="1" applyFill="1" applyBorder="1" applyAlignment="1">
      <alignment horizontal="right" vertical="center" wrapText="1"/>
    </xf>
    <xf numFmtId="10" fontId="2" fillId="2" borderId="27" xfId="2" applyNumberFormat="1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10" fontId="2" fillId="2" borderId="23" xfId="2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2" fontId="2" fillId="2" borderId="1" xfId="2" applyNumberFormat="1" applyFont="1" applyFill="1" applyBorder="1" applyAlignment="1">
      <alignment horizontal="right" vertical="center" wrapText="1"/>
    </xf>
    <xf numFmtId="166" fontId="2" fillId="2" borderId="1" xfId="2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3" fontId="3" fillId="2" borderId="18" xfId="1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2" fillId="2" borderId="13" xfId="0" applyNumberFormat="1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2" fillId="2" borderId="19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2" fillId="2" borderId="20" xfId="0" applyNumberFormat="1" applyFont="1" applyFill="1" applyBorder="1" applyAlignment="1">
      <alignment vertical="center" wrapText="1"/>
    </xf>
    <xf numFmtId="4" fontId="2" fillId="2" borderId="21" xfId="2" applyNumberFormat="1" applyFont="1" applyFill="1" applyBorder="1" applyAlignment="1">
      <alignment horizontal="right" vertical="center" wrapText="1"/>
    </xf>
    <xf numFmtId="4" fontId="2" fillId="2" borderId="27" xfId="2" applyNumberFormat="1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vertical="center" wrapText="1"/>
    </xf>
    <xf numFmtId="4" fontId="2" fillId="2" borderId="24" xfId="2" applyNumberFormat="1" applyFont="1" applyFill="1" applyBorder="1" applyAlignment="1">
      <alignment horizontal="right" vertical="center" wrapText="1"/>
    </xf>
    <xf numFmtId="0" fontId="5" fillId="4" borderId="29" xfId="0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4" fontId="3" fillId="2" borderId="32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67" fontId="3" fillId="2" borderId="28" xfId="0" applyNumberFormat="1" applyFont="1" applyFill="1" applyBorder="1" applyAlignment="1">
      <alignment horizontal="center" vertical="center" wrapText="1"/>
    </xf>
    <xf numFmtId="167" fontId="3" fillId="2" borderId="29" xfId="0" applyNumberFormat="1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zoomScaleNormal="100" workbookViewId="0">
      <selection activeCell="D14" sqref="D14"/>
    </sheetView>
  </sheetViews>
  <sheetFormatPr baseColWidth="10" defaultColWidth="20.7109375" defaultRowHeight="30" customHeight="1" x14ac:dyDescent="0.25"/>
  <cols>
    <col min="1" max="1" width="11.42578125" style="1" customWidth="1"/>
    <col min="2" max="2" width="27.140625" style="4" customWidth="1"/>
    <col min="3" max="3" width="20.7109375" style="2" customWidth="1"/>
    <col min="4" max="4" width="17.7109375" style="2" bestFit="1" customWidth="1"/>
    <col min="5" max="5" width="18.140625" style="2" customWidth="1"/>
    <col min="6" max="16384" width="20.7109375" style="1"/>
  </cols>
  <sheetData>
    <row r="1" spans="2:6" ht="30" customHeight="1" x14ac:dyDescent="0.25">
      <c r="B1" s="76" t="s">
        <v>30</v>
      </c>
      <c r="C1" s="76"/>
      <c r="D1" s="76"/>
      <c r="E1" s="76"/>
    </row>
    <row r="2" spans="2:6" s="3" customFormat="1" ht="30" customHeight="1" x14ac:dyDescent="0.25">
      <c r="B2" s="77" t="s">
        <v>0</v>
      </c>
      <c r="C2" s="77"/>
      <c r="D2" s="45">
        <v>8.5</v>
      </c>
      <c r="E2" s="6"/>
    </row>
    <row r="3" spans="2:6" s="3" customFormat="1" ht="30" customHeight="1" x14ac:dyDescent="0.25">
      <c r="B3" s="77" t="s">
        <v>42</v>
      </c>
      <c r="C3" s="77"/>
      <c r="D3" s="46">
        <v>6.5</v>
      </c>
      <c r="E3" s="6"/>
    </row>
    <row r="4" spans="2:6" s="3" customFormat="1" ht="30" customHeight="1" thickBot="1" x14ac:dyDescent="0.3">
      <c r="B4" s="77" t="s">
        <v>43</v>
      </c>
      <c r="C4" s="77"/>
      <c r="D4" s="47">
        <v>133200</v>
      </c>
      <c r="E4" s="6"/>
    </row>
    <row r="5" spans="2:6" ht="30" customHeight="1" x14ac:dyDescent="0.25">
      <c r="B5" s="9"/>
      <c r="C5" s="72" t="s">
        <v>35</v>
      </c>
      <c r="D5" s="72" t="s">
        <v>36</v>
      </c>
      <c r="E5" s="72" t="s">
        <v>37</v>
      </c>
      <c r="F5" s="9"/>
    </row>
    <row r="6" spans="2:6" ht="30" customHeight="1" x14ac:dyDescent="0.25">
      <c r="B6" s="10" t="s">
        <v>17</v>
      </c>
      <c r="C6" s="31">
        <v>365</v>
      </c>
      <c r="D6" s="31">
        <v>365</v>
      </c>
      <c r="E6" s="31">
        <v>365</v>
      </c>
      <c r="F6" s="31">
        <v>0</v>
      </c>
    </row>
    <row r="7" spans="2:6" ht="30" customHeight="1" thickBot="1" x14ac:dyDescent="0.3">
      <c r="B7" s="13" t="s">
        <v>45</v>
      </c>
      <c r="C7" s="38">
        <f>52*2</f>
        <v>104</v>
      </c>
      <c r="D7" s="38">
        <f t="shared" ref="D7:E7" si="0">52*2</f>
        <v>104</v>
      </c>
      <c r="E7" s="38">
        <f t="shared" si="0"/>
        <v>104</v>
      </c>
      <c r="F7" s="38">
        <v>0</v>
      </c>
    </row>
    <row r="8" spans="2:6" ht="30" customHeight="1" thickBot="1" x14ac:dyDescent="0.3">
      <c r="B8" s="14" t="s">
        <v>26</v>
      </c>
      <c r="C8" s="39">
        <f>C6-C7</f>
        <v>261</v>
      </c>
      <c r="D8" s="39">
        <f t="shared" ref="D8:F8" si="1">D6-D7</f>
        <v>261</v>
      </c>
      <c r="E8" s="39">
        <f t="shared" si="1"/>
        <v>261</v>
      </c>
      <c r="F8" s="39">
        <f t="shared" si="1"/>
        <v>0</v>
      </c>
    </row>
    <row r="9" spans="2:6" ht="30" customHeight="1" x14ac:dyDescent="0.25">
      <c r="B9" s="10" t="s">
        <v>3</v>
      </c>
      <c r="C9" s="33">
        <v>12.2</v>
      </c>
      <c r="D9" s="33">
        <v>13</v>
      </c>
      <c r="E9" s="33">
        <v>12</v>
      </c>
      <c r="F9" s="33">
        <v>0</v>
      </c>
    </row>
    <row r="10" spans="2:6" ht="30" customHeight="1" x14ac:dyDescent="0.25">
      <c r="B10" s="10" t="s">
        <v>4</v>
      </c>
      <c r="C10" s="31">
        <v>26</v>
      </c>
      <c r="D10" s="31">
        <v>26</v>
      </c>
      <c r="E10" s="31">
        <v>26</v>
      </c>
      <c r="F10" s="31">
        <v>0</v>
      </c>
    </row>
    <row r="11" spans="2:6" ht="30" customHeight="1" x14ac:dyDescent="0.25">
      <c r="B11" s="10" t="s">
        <v>5</v>
      </c>
      <c r="C11" s="31">
        <v>10</v>
      </c>
      <c r="D11" s="32">
        <v>10</v>
      </c>
      <c r="E11" s="31">
        <v>10</v>
      </c>
      <c r="F11" s="31">
        <v>0</v>
      </c>
    </row>
    <row r="12" spans="2:6" ht="30" customHeight="1" x14ac:dyDescent="0.25">
      <c r="B12" s="10" t="s">
        <v>6</v>
      </c>
      <c r="C12" s="31">
        <v>22</v>
      </c>
      <c r="D12" s="32">
        <v>18</v>
      </c>
      <c r="E12" s="31">
        <v>20</v>
      </c>
      <c r="F12" s="31">
        <v>0</v>
      </c>
    </row>
    <row r="13" spans="2:6" ht="30" customHeight="1" x14ac:dyDescent="0.25">
      <c r="B13" s="10" t="s">
        <v>50</v>
      </c>
      <c r="C13" s="31">
        <f>C8-C10-C11-C12</f>
        <v>203</v>
      </c>
      <c r="D13" s="31">
        <f t="shared" ref="D13:F13" si="2">D8-D10-D11-D12</f>
        <v>207</v>
      </c>
      <c r="E13" s="31">
        <f t="shared" si="2"/>
        <v>205</v>
      </c>
      <c r="F13" s="31">
        <f t="shared" si="2"/>
        <v>0</v>
      </c>
    </row>
    <row r="14" spans="2:6" ht="30" customHeight="1" x14ac:dyDescent="0.25">
      <c r="B14" s="29" t="s">
        <v>25</v>
      </c>
      <c r="C14" s="30">
        <f>C13/100*78</f>
        <v>158.33999999999997</v>
      </c>
      <c r="D14" s="30">
        <f>D13/100*79.5</f>
        <v>164.565</v>
      </c>
      <c r="E14" s="30">
        <f>E13/100*82</f>
        <v>168.1</v>
      </c>
      <c r="F14" s="30">
        <f t="shared" ref="F14" si="3">F13/100*78</f>
        <v>0</v>
      </c>
    </row>
    <row r="15" spans="2:6" ht="30" customHeight="1" x14ac:dyDescent="0.25">
      <c r="B15" s="7"/>
      <c r="C15" s="8"/>
      <c r="D15" s="8"/>
      <c r="E15" s="8"/>
    </row>
    <row r="16" spans="2:6" ht="30" customHeight="1" x14ac:dyDescent="0.25">
      <c r="B16" s="10" t="s">
        <v>44</v>
      </c>
      <c r="C16" s="12" t="s">
        <v>31</v>
      </c>
      <c r="D16" s="12" t="s">
        <v>32</v>
      </c>
      <c r="E16" s="8"/>
    </row>
    <row r="17" spans="2:5" ht="30" customHeight="1" x14ac:dyDescent="0.25">
      <c r="B17" s="10" t="s">
        <v>16</v>
      </c>
      <c r="C17" s="31">
        <v>1.4</v>
      </c>
      <c r="D17" s="32"/>
      <c r="E17" s="8"/>
    </row>
    <row r="18" spans="2:5" ht="30" customHeight="1" x14ac:dyDescent="0.25">
      <c r="B18" s="10" t="s">
        <v>13</v>
      </c>
      <c r="C18" s="31">
        <v>30</v>
      </c>
      <c r="D18" s="32"/>
      <c r="E18" s="8"/>
    </row>
    <row r="19" spans="2:5" ht="30" customHeight="1" x14ac:dyDescent="0.25">
      <c r="B19" s="10" t="s">
        <v>14</v>
      </c>
      <c r="C19" s="31">
        <v>35</v>
      </c>
      <c r="D19" s="32"/>
      <c r="E19" s="8"/>
    </row>
    <row r="20" spans="2:5" ht="30" customHeight="1" x14ac:dyDescent="0.25">
      <c r="B20" s="10" t="s">
        <v>15</v>
      </c>
      <c r="C20" s="33">
        <v>39.880000000000003</v>
      </c>
      <c r="D20" s="32"/>
      <c r="E20" s="8"/>
    </row>
    <row r="21" spans="2:5" ht="30" customHeight="1" x14ac:dyDescent="0.25">
      <c r="B21" s="10" t="s">
        <v>7</v>
      </c>
      <c r="C21" s="31">
        <v>14.6</v>
      </c>
      <c r="D21" s="31">
        <f>C21/2</f>
        <v>7.3</v>
      </c>
      <c r="E21" s="8"/>
    </row>
    <row r="22" spans="2:5" ht="30" customHeight="1" x14ac:dyDescent="0.25">
      <c r="B22" s="10" t="s">
        <v>8</v>
      </c>
      <c r="C22" s="31">
        <v>18.600000000000001</v>
      </c>
      <c r="D22" s="31">
        <f>C22/2</f>
        <v>9.3000000000000007</v>
      </c>
      <c r="E22" s="8"/>
    </row>
    <row r="23" spans="2:5" ht="30" customHeight="1" x14ac:dyDescent="0.25">
      <c r="B23" s="10" t="s">
        <v>9</v>
      </c>
      <c r="C23" s="31">
        <v>2.4</v>
      </c>
      <c r="D23" s="31">
        <f>C23/2</f>
        <v>1.2</v>
      </c>
      <c r="E23" s="8"/>
    </row>
    <row r="24" spans="2:5" ht="30" customHeight="1" x14ac:dyDescent="0.25">
      <c r="B24" s="10" t="s">
        <v>10</v>
      </c>
      <c r="C24" s="31">
        <v>3.05</v>
      </c>
      <c r="D24" s="73">
        <f>C24/2</f>
        <v>1.5249999999999999</v>
      </c>
      <c r="E24" s="8"/>
    </row>
    <row r="25" spans="2:5" ht="30" customHeight="1" x14ac:dyDescent="0.25">
      <c r="B25" s="10" t="s">
        <v>11</v>
      </c>
      <c r="C25" s="31">
        <v>3</v>
      </c>
      <c r="D25" s="32"/>
      <c r="E25" s="8"/>
    </row>
    <row r="26" spans="2:5" ht="30" customHeight="1" x14ac:dyDescent="0.25">
      <c r="B26" s="10" t="s">
        <v>12</v>
      </c>
      <c r="C26" s="31">
        <v>1.2</v>
      </c>
      <c r="D26" s="32"/>
      <c r="E26" s="8"/>
    </row>
  </sheetData>
  <mergeCells count="4">
    <mergeCell ref="B1:E1"/>
    <mergeCell ref="B3:C3"/>
    <mergeCell ref="B4:C4"/>
    <mergeCell ref="B2:C2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tabSelected="1" zoomScale="120" zoomScaleNormal="120" workbookViewId="0">
      <selection activeCell="C11" sqref="C11"/>
    </sheetView>
  </sheetViews>
  <sheetFormatPr baseColWidth="10" defaultColWidth="20.7109375" defaultRowHeight="30" customHeight="1" x14ac:dyDescent="0.25"/>
  <cols>
    <col min="1" max="1" width="9.42578125" style="1" customWidth="1"/>
    <col min="2" max="2" width="33" style="4" customWidth="1"/>
    <col min="3" max="3" width="20.7109375" style="2" customWidth="1"/>
    <col min="4" max="4" width="17.7109375" style="2" bestFit="1" customWidth="1"/>
    <col min="5" max="5" width="18" style="2" customWidth="1"/>
    <col min="6" max="6" width="18" style="1" customWidth="1"/>
    <col min="7" max="16384" width="20.7109375" style="1"/>
  </cols>
  <sheetData>
    <row r="1" spans="2:7" ht="11.25" customHeight="1" x14ac:dyDescent="0.25"/>
    <row r="2" spans="2:7" ht="30" customHeight="1" x14ac:dyDescent="0.25">
      <c r="B2" s="78" t="s">
        <v>48</v>
      </c>
      <c r="C2" s="78"/>
      <c r="D2" s="78"/>
      <c r="E2" s="78"/>
      <c r="F2" s="78"/>
    </row>
    <row r="3" spans="2:7" ht="30" customHeight="1" x14ac:dyDescent="0.25">
      <c r="B3" s="43"/>
      <c r="C3" s="43" t="str">
        <f>'Aufgaben-Werte '!C5:C5</f>
        <v>Brüls</v>
      </c>
      <c r="D3" s="43" t="str">
        <f>'Aufgaben-Werte '!D5:D5</f>
        <v>Klein</v>
      </c>
      <c r="E3" s="43" t="str">
        <f>'Aufgaben-Werte '!E5:E5</f>
        <v>Göderz</v>
      </c>
      <c r="F3" s="43">
        <f>'Aufgaben-Werte '!F5:F5</f>
        <v>0</v>
      </c>
    </row>
    <row r="4" spans="2:7" ht="20.100000000000001" customHeight="1" x14ac:dyDescent="0.25">
      <c r="B4" s="10" t="s">
        <v>17</v>
      </c>
      <c r="C4" s="31">
        <v>365</v>
      </c>
      <c r="D4" s="31">
        <v>365</v>
      </c>
      <c r="E4" s="31">
        <v>365</v>
      </c>
      <c r="F4" s="31">
        <v>365</v>
      </c>
    </row>
    <row r="5" spans="2:7" ht="20.100000000000001" customHeight="1" x14ac:dyDescent="0.25">
      <c r="B5" s="10" t="s">
        <v>45</v>
      </c>
      <c r="C5" s="31">
        <f>52*2</f>
        <v>104</v>
      </c>
      <c r="D5" s="31">
        <f>52*2</f>
        <v>104</v>
      </c>
      <c r="E5" s="31">
        <f>52*2</f>
        <v>104</v>
      </c>
      <c r="F5" s="31">
        <f>52*2</f>
        <v>104</v>
      </c>
    </row>
    <row r="6" spans="2:7" ht="20.100000000000001" customHeight="1" x14ac:dyDescent="0.25">
      <c r="B6" s="10" t="s">
        <v>26</v>
      </c>
      <c r="C6" s="31">
        <f>C4-C5</f>
        <v>261</v>
      </c>
      <c r="D6" s="31">
        <f>D4-D5</f>
        <v>261</v>
      </c>
      <c r="E6" s="31">
        <f>E4-E5</f>
        <v>261</v>
      </c>
      <c r="F6" s="31">
        <f>F4-F5</f>
        <v>261</v>
      </c>
      <c r="G6" s="1" t="s">
        <v>28</v>
      </c>
    </row>
    <row r="7" spans="2:7" ht="20.100000000000001" customHeight="1" x14ac:dyDescent="0.25">
      <c r="B7" s="10" t="s">
        <v>5</v>
      </c>
      <c r="C7" s="31">
        <f>'Aufgaben-Werte '!C11</f>
        <v>10</v>
      </c>
      <c r="D7" s="31">
        <f>'Aufgaben-Werte '!D11</f>
        <v>10</v>
      </c>
      <c r="E7" s="31">
        <f>'Aufgaben-Werte '!E11</f>
        <v>10</v>
      </c>
      <c r="F7" s="31">
        <f>'Aufgaben-Werte '!F11</f>
        <v>0</v>
      </c>
    </row>
    <row r="8" spans="2:7" ht="20.100000000000001" customHeight="1" x14ac:dyDescent="0.25">
      <c r="B8" s="10" t="s">
        <v>4</v>
      </c>
      <c r="C8" s="31">
        <f>'Aufgaben-Werte '!C10</f>
        <v>26</v>
      </c>
      <c r="D8" s="31">
        <f>'Aufgaben-Werte '!D10</f>
        <v>26</v>
      </c>
      <c r="E8" s="31">
        <f>'Aufgaben-Werte '!E10</f>
        <v>26</v>
      </c>
      <c r="F8" s="31">
        <f>'Aufgaben-Werte '!F10</f>
        <v>0</v>
      </c>
    </row>
    <row r="9" spans="2:7" ht="20.100000000000001" customHeight="1" x14ac:dyDescent="0.25">
      <c r="B9" s="10" t="s">
        <v>6</v>
      </c>
      <c r="C9" s="31">
        <f>'Aufgaben-Werte '!C12</f>
        <v>22</v>
      </c>
      <c r="D9" s="31">
        <f>'Aufgaben-Werte '!D12</f>
        <v>18</v>
      </c>
      <c r="E9" s="31">
        <f>'Aufgaben-Werte '!E12</f>
        <v>20</v>
      </c>
      <c r="F9" s="31">
        <f>'Aufgaben-Werte '!F12</f>
        <v>0</v>
      </c>
    </row>
    <row r="10" spans="2:7" ht="20.100000000000001" customHeight="1" x14ac:dyDescent="0.25">
      <c r="B10" s="10" t="s">
        <v>18</v>
      </c>
      <c r="C10" s="31">
        <f>C4-C5-C8-C7-C9</f>
        <v>203</v>
      </c>
      <c r="D10" s="31">
        <f>D4-D5-D8-D7-D9</f>
        <v>207</v>
      </c>
      <c r="E10" s="31">
        <f>E4-E5-E8-E7-E9</f>
        <v>205</v>
      </c>
      <c r="F10" s="31">
        <f>F4-F5-F8-F7-F9</f>
        <v>261</v>
      </c>
    </row>
    <row r="11" spans="2:7" ht="20.100000000000001" customHeight="1" x14ac:dyDescent="0.25">
      <c r="B11" s="10" t="s">
        <v>46</v>
      </c>
      <c r="C11" s="74">
        <f>ROUND(C10*'Aufgaben-Werte '!$D$2,0)</f>
        <v>1726</v>
      </c>
      <c r="D11" s="74">
        <f>D10*'Aufgaben-Werte '!$D$2</f>
        <v>1759.5</v>
      </c>
      <c r="E11" s="74">
        <f>E10*'Aufgaben-Werte '!$D$2</f>
        <v>1742.5</v>
      </c>
      <c r="F11" s="74">
        <f>F10*'Aufgaben-Werte '!$D$2</f>
        <v>2218.5</v>
      </c>
    </row>
    <row r="12" spans="2:7" ht="20.100000000000001" customHeight="1" x14ac:dyDescent="0.25">
      <c r="B12" s="10" t="s">
        <v>22</v>
      </c>
      <c r="C12" s="31">
        <f>ROUND('Aufgaben-Werte '!C14,0)</f>
        <v>158</v>
      </c>
      <c r="D12" s="31">
        <f>ROUND('Aufgaben-Werte '!D14,0)</f>
        <v>165</v>
      </c>
      <c r="E12" s="31">
        <f>ROUND('Aufgaben-Werte '!E14,0)</f>
        <v>168</v>
      </c>
      <c r="F12" s="31">
        <f>ROUND('Aufgaben-Werte '!F14,0)</f>
        <v>0</v>
      </c>
    </row>
    <row r="13" spans="2:7" ht="20.100000000000001" customHeight="1" x14ac:dyDescent="0.25">
      <c r="B13" s="10" t="s">
        <v>23</v>
      </c>
      <c r="C13" s="74">
        <f>C12*'Aufgaben-Werte '!$D$2</f>
        <v>1343</v>
      </c>
      <c r="D13" s="74">
        <f>D12*'Aufgaben-Werte '!$D$2</f>
        <v>1402.5</v>
      </c>
      <c r="E13" s="74">
        <f>E12*'Aufgaben-Werte '!$D$2</f>
        <v>1428</v>
      </c>
      <c r="F13" s="74">
        <f>F12*'Aufgaben-Werte '!$D$2</f>
        <v>0</v>
      </c>
    </row>
    <row r="14" spans="2:7" ht="20.100000000000001" customHeight="1" x14ac:dyDescent="0.25">
      <c r="B14" s="40" t="s">
        <v>38</v>
      </c>
      <c r="C14" s="41">
        <f>C6-C10</f>
        <v>58</v>
      </c>
      <c r="D14" s="41">
        <f t="shared" ref="D14:F14" si="0">D6-D10</f>
        <v>54</v>
      </c>
      <c r="E14" s="41">
        <f t="shared" si="0"/>
        <v>56</v>
      </c>
      <c r="F14" s="41">
        <f t="shared" si="0"/>
        <v>0</v>
      </c>
    </row>
    <row r="15" spans="2:7" ht="20.100000000000001" customHeight="1" x14ac:dyDescent="0.25">
      <c r="B15" s="40" t="s">
        <v>39</v>
      </c>
      <c r="C15" s="42">
        <f>ROUND(C14*'Aufgaben-Werte '!$D$2,0)</f>
        <v>493</v>
      </c>
      <c r="D15" s="42">
        <f>ROUND(D14*'Aufgaben-Werte '!$D$2,0)</f>
        <v>459</v>
      </c>
      <c r="E15" s="42">
        <f>ROUND(E14*'Aufgaben-Werte '!$D$2,0)</f>
        <v>476</v>
      </c>
      <c r="F15" s="42">
        <f>ROUND(F14*'Aufgaben-Werte '!$D$2,0)</f>
        <v>0</v>
      </c>
    </row>
    <row r="16" spans="2:7" ht="20.100000000000001" customHeight="1" x14ac:dyDescent="0.25">
      <c r="B16" s="40" t="s">
        <v>40</v>
      </c>
      <c r="C16" s="41">
        <f>C10-C12</f>
        <v>45</v>
      </c>
      <c r="D16" s="41">
        <f t="shared" ref="D16:F16" si="1">D10-D12</f>
        <v>42</v>
      </c>
      <c r="E16" s="41">
        <f t="shared" si="1"/>
        <v>37</v>
      </c>
      <c r="F16" s="41">
        <f t="shared" si="1"/>
        <v>261</v>
      </c>
    </row>
    <row r="17" spans="2:6" ht="20.100000000000001" customHeight="1" x14ac:dyDescent="0.25">
      <c r="B17" s="40" t="s">
        <v>41</v>
      </c>
      <c r="C17" s="75">
        <f>ROUND(C16*'Aufgaben-Werte '!$D$2,0)</f>
        <v>383</v>
      </c>
      <c r="D17" s="75">
        <f>ROUND(D16*'Aufgaben-Werte '!$D$2,0)</f>
        <v>357</v>
      </c>
      <c r="E17" s="75">
        <f>ROUND(E16*'Aufgaben-Werte '!$D$2,0)</f>
        <v>315</v>
      </c>
      <c r="F17" s="75">
        <f>ROUND(F16*'Aufgaben-Werte '!$D$2,0)</f>
        <v>2219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zoomScaleNormal="100" workbookViewId="0">
      <selection activeCell="D7" sqref="D7"/>
    </sheetView>
  </sheetViews>
  <sheetFormatPr baseColWidth="10" defaultColWidth="20.7109375" defaultRowHeight="30" customHeight="1" x14ac:dyDescent="0.25"/>
  <cols>
    <col min="1" max="1" width="10.85546875" style="1" customWidth="1"/>
    <col min="2" max="2" width="20.140625" style="4" bestFit="1" customWidth="1"/>
    <col min="3" max="3" width="20.7109375" style="2" customWidth="1"/>
    <col min="4" max="4" width="17.7109375" style="2" bestFit="1" customWidth="1"/>
    <col min="5" max="6" width="18.140625" style="2" customWidth="1"/>
    <col min="7" max="7" width="15.140625" style="1" customWidth="1"/>
    <col min="8" max="8" width="16.5703125" style="1" customWidth="1"/>
    <col min="9" max="16384" width="20.7109375" style="1"/>
  </cols>
  <sheetData>
    <row r="1" spans="2:12" ht="30" customHeight="1" thickBot="1" x14ac:dyDescent="0.3"/>
    <row r="2" spans="2:12" ht="30" customHeight="1" thickBot="1" x14ac:dyDescent="0.3">
      <c r="B2" s="79" t="s">
        <v>47</v>
      </c>
      <c r="C2" s="80"/>
      <c r="D2" s="80"/>
      <c r="E2" s="80"/>
      <c r="F2" s="80"/>
      <c r="G2" s="80"/>
      <c r="H2" s="80"/>
      <c r="I2" s="81"/>
    </row>
    <row r="3" spans="2:12" ht="30" customHeight="1" thickBot="1" x14ac:dyDescent="0.3"/>
    <row r="4" spans="2:12" ht="14.25" x14ac:dyDescent="0.25">
      <c r="B4" s="93"/>
      <c r="C4" s="82" t="str">
        <f>'Aufgaben-Werte '!C5</f>
        <v>Brüls</v>
      </c>
      <c r="D4" s="82" t="str">
        <f>'Aufgaben-Werte '!D5</f>
        <v>Klein</v>
      </c>
      <c r="E4" s="82" t="str">
        <f>'Aufgaben-Werte '!E5</f>
        <v>Göderz</v>
      </c>
      <c r="F4" s="82">
        <f>'Aufgaben-Werte '!F5</f>
        <v>0</v>
      </c>
      <c r="G4" s="15"/>
      <c r="H4" s="15"/>
      <c r="I4" s="15"/>
      <c r="J4" s="15"/>
      <c r="K4" s="15"/>
    </row>
    <row r="5" spans="2:12" ht="14.25" x14ac:dyDescent="0.25">
      <c r="B5" s="94"/>
      <c r="C5" s="83"/>
      <c r="D5" s="83"/>
      <c r="E5" s="83"/>
      <c r="F5" s="83"/>
      <c r="G5" s="15"/>
      <c r="H5" s="15"/>
      <c r="I5" s="15"/>
      <c r="J5" s="15"/>
      <c r="K5" s="15"/>
    </row>
    <row r="6" spans="2:12" ht="30" customHeight="1" x14ac:dyDescent="0.25">
      <c r="B6" s="52" t="s">
        <v>21</v>
      </c>
      <c r="C6" s="48">
        <f>Tagesberechnung!C13</f>
        <v>1343</v>
      </c>
      <c r="D6" s="48">
        <f>Tagesberechnung!D13</f>
        <v>1402.5</v>
      </c>
      <c r="E6" s="48">
        <f>Tagesberechnung!E13</f>
        <v>1428</v>
      </c>
      <c r="F6" s="48">
        <f>Tagesberechnung!F13</f>
        <v>0</v>
      </c>
      <c r="G6" s="55">
        <f>SUM(C6:E6)</f>
        <v>4173.5</v>
      </c>
      <c r="H6" s="15"/>
      <c r="I6" s="15"/>
      <c r="J6" s="16"/>
      <c r="K6" s="15"/>
    </row>
    <row r="7" spans="2:12" ht="30" customHeight="1" x14ac:dyDescent="0.25">
      <c r="B7" s="52" t="s">
        <v>27</v>
      </c>
      <c r="C7" s="49">
        <f>Tagesberechnung!C6</f>
        <v>261</v>
      </c>
      <c r="D7" s="49">
        <f>Tagesberechnung!D6</f>
        <v>261</v>
      </c>
      <c r="E7" s="49">
        <f>Tagesberechnung!E6</f>
        <v>261</v>
      </c>
      <c r="F7" s="49">
        <f>Tagesberechnung!F6</f>
        <v>261</v>
      </c>
      <c r="G7" s="15"/>
      <c r="H7" s="15"/>
      <c r="I7" s="15"/>
      <c r="J7" s="15"/>
      <c r="K7" s="15"/>
    </row>
    <row r="8" spans="2:12" ht="30" customHeight="1" thickBot="1" x14ac:dyDescent="0.3">
      <c r="B8" s="52" t="s">
        <v>3</v>
      </c>
      <c r="C8" s="50">
        <f>'Aufgaben-Werte '!C9</f>
        <v>12.2</v>
      </c>
      <c r="D8" s="50">
        <f>'Aufgaben-Werte '!D9</f>
        <v>13</v>
      </c>
      <c r="E8" s="50">
        <f>'Aufgaben-Werte '!E9</f>
        <v>12</v>
      </c>
      <c r="F8" s="50">
        <f>'Aufgaben-Werte '!F9</f>
        <v>0</v>
      </c>
      <c r="G8" s="15"/>
      <c r="H8" s="15"/>
      <c r="I8" s="15"/>
      <c r="J8" s="15"/>
      <c r="K8" s="15"/>
    </row>
    <row r="9" spans="2:12" ht="30" customHeight="1" thickBot="1" x14ac:dyDescent="0.3">
      <c r="B9" s="54" t="s">
        <v>19</v>
      </c>
      <c r="C9" s="53">
        <f>C7*C8*'Aufgaben-Werte '!$D$2</f>
        <v>27065.699999999997</v>
      </c>
      <c r="D9" s="53">
        <f>D7*D8*'Aufgaben-Werte '!$D$2</f>
        <v>28840.5</v>
      </c>
      <c r="E9" s="53">
        <f>E7*E8*'Aufgaben-Werte '!$D$2</f>
        <v>26622</v>
      </c>
      <c r="F9" s="53">
        <f>F7*F8*'Aufgaben-Werte '!$D$2</f>
        <v>0</v>
      </c>
      <c r="G9" s="103">
        <f>SUM(C9:F9)</f>
        <v>82528.2</v>
      </c>
      <c r="H9" s="104"/>
      <c r="I9" s="15"/>
      <c r="J9" s="15"/>
      <c r="K9" s="15"/>
    </row>
    <row r="10" spans="2:12" ht="30" customHeight="1" x14ac:dyDescent="0.25">
      <c r="B10" s="53" t="s">
        <v>33</v>
      </c>
      <c r="C10" s="53">
        <f>C9*$I$10/100</f>
        <v>378.91979999999995</v>
      </c>
      <c r="D10" s="53">
        <f t="shared" ref="D10:F10" si="0">D9*$I$10/100</f>
        <v>403.767</v>
      </c>
      <c r="E10" s="53">
        <f t="shared" si="0"/>
        <v>372.70799999999997</v>
      </c>
      <c r="F10" s="53">
        <f t="shared" si="0"/>
        <v>0</v>
      </c>
      <c r="G10" s="84" t="s">
        <v>16</v>
      </c>
      <c r="H10" s="85"/>
      <c r="I10" s="37">
        <f>'Aufgaben-Werte '!C17</f>
        <v>1.4</v>
      </c>
      <c r="J10" s="56">
        <f>G9*I10/100</f>
        <v>1155.3947999999998</v>
      </c>
      <c r="K10" s="57"/>
    </row>
    <row r="11" spans="2:12" ht="30" customHeight="1" x14ac:dyDescent="0.25">
      <c r="B11" s="53"/>
      <c r="C11" s="53">
        <f>C9+C10</f>
        <v>27444.619799999997</v>
      </c>
      <c r="D11" s="53">
        <f>D9+D10</f>
        <v>29244.267</v>
      </c>
      <c r="E11" s="53">
        <f>E9+E10</f>
        <v>26994.707999999999</v>
      </c>
      <c r="F11" s="53">
        <f>F9+F10</f>
        <v>0</v>
      </c>
      <c r="G11" s="17"/>
      <c r="H11" s="18"/>
      <c r="I11" s="34"/>
      <c r="J11" s="58"/>
      <c r="K11" s="59">
        <f>J10+G9</f>
        <v>83683.594799999992</v>
      </c>
    </row>
    <row r="12" spans="2:12" ht="30" customHeight="1" x14ac:dyDescent="0.25">
      <c r="B12" s="53" t="s">
        <v>13</v>
      </c>
      <c r="C12" s="53">
        <f>C11/12*$I$12/100</f>
        <v>686.1154949999999</v>
      </c>
      <c r="D12" s="53">
        <f t="shared" ref="D12:F12" si="1">D11/12*$I$12/100</f>
        <v>731.106675</v>
      </c>
      <c r="E12" s="53">
        <f t="shared" si="1"/>
        <v>674.8676999999999</v>
      </c>
      <c r="F12" s="53">
        <f t="shared" si="1"/>
        <v>0</v>
      </c>
      <c r="G12" s="92" t="s">
        <v>13</v>
      </c>
      <c r="H12" s="89"/>
      <c r="I12" s="35">
        <f>'Aufgaben-Werte '!C18</f>
        <v>30</v>
      </c>
      <c r="J12" s="60">
        <f>K11*I12/12/100</f>
        <v>2092.0898699999998</v>
      </c>
      <c r="K12" s="61">
        <f>K11+J12</f>
        <v>85775.684669999988</v>
      </c>
    </row>
    <row r="13" spans="2:12" ht="30" customHeight="1" x14ac:dyDescent="0.25">
      <c r="B13" s="53" t="s">
        <v>14</v>
      </c>
      <c r="C13" s="53">
        <f>C11/12*$I$13/100</f>
        <v>800.46807749999994</v>
      </c>
      <c r="D13" s="53">
        <f t="shared" ref="D13:F13" si="2">D11/12*$I$13/100</f>
        <v>852.95778749999999</v>
      </c>
      <c r="E13" s="53">
        <f t="shared" si="2"/>
        <v>787.34564999999986</v>
      </c>
      <c r="F13" s="53">
        <f t="shared" si="2"/>
        <v>0</v>
      </c>
      <c r="G13" s="92" t="s">
        <v>14</v>
      </c>
      <c r="H13" s="89"/>
      <c r="I13" s="35">
        <f>'Aufgaben-Werte '!C19</f>
        <v>35</v>
      </c>
      <c r="J13" s="60">
        <f>K11*I13/12/100</f>
        <v>2440.7715149999995</v>
      </c>
      <c r="K13" s="61">
        <f>K12+J13</f>
        <v>88216.456184999988</v>
      </c>
      <c r="L13" s="5">
        <f>SUM(J12:J13)</f>
        <v>4532.8613849999992</v>
      </c>
    </row>
    <row r="14" spans="2:12" ht="30" customHeight="1" x14ac:dyDescent="0.25">
      <c r="B14" s="53"/>
      <c r="C14" s="53">
        <f>SUM(C11:C13)</f>
        <v>28931.203372499996</v>
      </c>
      <c r="D14" s="53">
        <f>SUM(D11:D13)</f>
        <v>30828.331462499998</v>
      </c>
      <c r="E14" s="53">
        <f>SUM(E11:E13)</f>
        <v>28456.921349999997</v>
      </c>
      <c r="F14" s="53">
        <f>SUM(F11:F13)</f>
        <v>0</v>
      </c>
      <c r="G14" s="19"/>
      <c r="H14" s="20"/>
      <c r="I14" s="21"/>
      <c r="J14" s="62"/>
      <c r="K14" s="61"/>
      <c r="L14" s="5"/>
    </row>
    <row r="15" spans="2:12" ht="30" customHeight="1" x14ac:dyDescent="0.25">
      <c r="B15" s="53" t="s">
        <v>34</v>
      </c>
      <c r="C15" s="53">
        <f>$I$15*12</f>
        <v>478.56000000000006</v>
      </c>
      <c r="D15" s="53">
        <f>$I$15*12</f>
        <v>478.56000000000006</v>
      </c>
      <c r="E15" s="53">
        <f>$I$15*12</f>
        <v>478.56000000000006</v>
      </c>
      <c r="F15" s="53">
        <v>0</v>
      </c>
      <c r="G15" s="90" t="s">
        <v>15</v>
      </c>
      <c r="H15" s="91"/>
      <c r="I15" s="22">
        <f>'Aufgaben-Werte '!C20</f>
        <v>39.880000000000003</v>
      </c>
      <c r="J15" s="62">
        <f>I15*3*12</f>
        <v>1435.6800000000003</v>
      </c>
      <c r="K15" s="63"/>
    </row>
    <row r="16" spans="2:12" ht="30" customHeight="1" x14ac:dyDescent="0.25">
      <c r="B16" s="16"/>
      <c r="C16" s="15"/>
      <c r="D16" s="15"/>
      <c r="E16" s="15"/>
      <c r="F16" s="15"/>
      <c r="G16" s="23"/>
      <c r="H16" s="23"/>
      <c r="I16" s="11"/>
      <c r="J16" s="51"/>
      <c r="K16" s="64">
        <f>K13+J15</f>
        <v>89652.136184999981</v>
      </c>
    </row>
    <row r="17" spans="2:11" ht="30" customHeight="1" x14ac:dyDescent="0.25">
      <c r="B17" s="15"/>
      <c r="C17" s="15"/>
      <c r="D17" s="15"/>
      <c r="E17" s="15"/>
      <c r="F17" s="15"/>
      <c r="G17" s="89" t="s">
        <v>7</v>
      </c>
      <c r="H17" s="89"/>
      <c r="I17" s="34">
        <f>'Aufgaben-Werte '!C21/2</f>
        <v>7.3</v>
      </c>
      <c r="J17" s="58">
        <f t="shared" ref="J17:J22" si="3">$K$16*I17/100</f>
        <v>6544.6059415049976</v>
      </c>
      <c r="K17" s="63"/>
    </row>
    <row r="18" spans="2:11" ht="30" customHeight="1" x14ac:dyDescent="0.25">
      <c r="B18" s="16"/>
      <c r="C18" s="15"/>
      <c r="D18" s="15"/>
      <c r="E18" s="15"/>
      <c r="F18" s="15"/>
      <c r="G18" s="89" t="s">
        <v>8</v>
      </c>
      <c r="H18" s="89"/>
      <c r="I18" s="35">
        <f>'Aufgaben-Werte '!C22/2</f>
        <v>9.3000000000000007</v>
      </c>
      <c r="J18" s="60">
        <f t="shared" si="3"/>
        <v>8337.6486652049989</v>
      </c>
      <c r="K18" s="63"/>
    </row>
    <row r="19" spans="2:11" ht="30" customHeight="1" x14ac:dyDescent="0.25">
      <c r="B19" s="15"/>
      <c r="C19" s="15"/>
      <c r="D19" s="15"/>
      <c r="E19" s="15"/>
      <c r="F19" s="15"/>
      <c r="G19" s="88" t="s">
        <v>9</v>
      </c>
      <c r="H19" s="89"/>
      <c r="I19" s="35">
        <f>'Aufgaben-Werte '!C23/2</f>
        <v>1.2</v>
      </c>
      <c r="J19" s="60">
        <f t="shared" si="3"/>
        <v>1075.8256342199998</v>
      </c>
      <c r="K19" s="63"/>
    </row>
    <row r="20" spans="2:11" ht="30" customHeight="1" x14ac:dyDescent="0.25">
      <c r="B20" s="15"/>
      <c r="C20" s="15"/>
      <c r="D20" s="15"/>
      <c r="E20" s="7"/>
      <c r="F20" s="7"/>
      <c r="G20" s="88" t="s">
        <v>10</v>
      </c>
      <c r="H20" s="89"/>
      <c r="I20" s="44">
        <f>'Aufgaben-Werte '!C24/2</f>
        <v>1.5249999999999999</v>
      </c>
      <c r="J20" s="60">
        <f t="shared" si="3"/>
        <v>1367.1950768212496</v>
      </c>
      <c r="K20" s="63"/>
    </row>
    <row r="21" spans="2:11" ht="30" customHeight="1" x14ac:dyDescent="0.25">
      <c r="B21" s="15"/>
      <c r="C21" s="15"/>
      <c r="D21" s="15"/>
      <c r="E21" s="7"/>
      <c r="F21" s="7"/>
      <c r="G21" s="88" t="s">
        <v>11</v>
      </c>
      <c r="H21" s="89"/>
      <c r="I21" s="35">
        <f>'Aufgaben-Werte '!C25</f>
        <v>3</v>
      </c>
      <c r="J21" s="60">
        <f t="shared" si="3"/>
        <v>2689.5640855499996</v>
      </c>
      <c r="K21" s="63"/>
    </row>
    <row r="22" spans="2:11" ht="30" customHeight="1" x14ac:dyDescent="0.25">
      <c r="B22" s="15"/>
      <c r="C22" s="15"/>
      <c r="D22" s="15"/>
      <c r="E22" s="7"/>
      <c r="F22" s="7"/>
      <c r="G22" s="88" t="s">
        <v>12</v>
      </c>
      <c r="H22" s="89"/>
      <c r="I22" s="35">
        <f>'Aufgaben-Werte '!C26</f>
        <v>1.2</v>
      </c>
      <c r="J22" s="60">
        <f t="shared" si="3"/>
        <v>1075.8256342199998</v>
      </c>
      <c r="K22" s="63"/>
    </row>
    <row r="23" spans="2:11" ht="30" customHeight="1" thickBot="1" x14ac:dyDescent="0.3">
      <c r="B23" s="15"/>
      <c r="C23" s="15"/>
      <c r="D23" s="15"/>
      <c r="E23" s="7"/>
      <c r="F23" s="7"/>
      <c r="G23" s="86" t="s">
        <v>49</v>
      </c>
      <c r="H23" s="87"/>
      <c r="I23" s="36">
        <f>SUM(I17:I22)</f>
        <v>23.524999999999999</v>
      </c>
      <c r="J23" s="65">
        <f>SUM(J17:J22)</f>
        <v>21090.665037521245</v>
      </c>
      <c r="K23" s="66">
        <f>K16+J23</f>
        <v>110742.80122252123</v>
      </c>
    </row>
    <row r="24" spans="2:11" ht="30" customHeight="1" thickBot="1" x14ac:dyDescent="0.3">
      <c r="B24" s="15"/>
      <c r="C24" s="8"/>
      <c r="D24" s="8"/>
      <c r="E24" s="8"/>
      <c r="F24" s="8"/>
      <c r="G24" s="101" t="s">
        <v>1</v>
      </c>
      <c r="H24" s="102"/>
      <c r="I24" s="24">
        <f>'Aufgaben-Werte '!D4</f>
        <v>133200</v>
      </c>
      <c r="J24" s="67"/>
      <c r="K24" s="68">
        <f>I24</f>
        <v>133200</v>
      </c>
    </row>
    <row r="25" spans="2:11" ht="30" customHeight="1" thickBot="1" x14ac:dyDescent="0.3">
      <c r="B25" s="15"/>
      <c r="C25" s="8"/>
      <c r="D25" s="8"/>
      <c r="E25" s="8"/>
      <c r="F25" s="8"/>
      <c r="G25" s="95" t="s">
        <v>20</v>
      </c>
      <c r="H25" s="96"/>
      <c r="I25" s="96"/>
      <c r="J25" s="97">
        <f>SUM(K23:K24)</f>
        <v>243942.80122252123</v>
      </c>
      <c r="K25" s="98"/>
    </row>
    <row r="26" spans="2:11" ht="30" customHeight="1" thickBot="1" x14ac:dyDescent="0.3">
      <c r="B26" s="15"/>
      <c r="C26" s="8"/>
      <c r="D26" s="8"/>
      <c r="E26" s="8"/>
      <c r="F26" s="8"/>
      <c r="G26" s="99" t="s">
        <v>2</v>
      </c>
      <c r="H26" s="100"/>
      <c r="I26" s="25">
        <f>'Aufgaben-Werte '!$D$3/100</f>
        <v>6.5000000000000002E-2</v>
      </c>
      <c r="J26" s="67"/>
      <c r="K26" s="69">
        <f>J25*I26</f>
        <v>15856.282079463881</v>
      </c>
    </row>
    <row r="27" spans="2:11" ht="30" customHeight="1" thickBot="1" x14ac:dyDescent="0.3">
      <c r="B27" s="15"/>
      <c r="C27" s="8"/>
      <c r="D27" s="8"/>
      <c r="E27" s="8"/>
      <c r="F27" s="8"/>
      <c r="G27" s="26" t="s">
        <v>29</v>
      </c>
      <c r="H27" s="27"/>
      <c r="I27" s="28"/>
      <c r="J27" s="70"/>
      <c r="K27" s="71">
        <f>K26+J25</f>
        <v>259799.08330198511</v>
      </c>
    </row>
    <row r="28" spans="2:11" ht="30" customHeight="1" thickBot="1" x14ac:dyDescent="0.3">
      <c r="B28" s="15"/>
      <c r="C28" s="8"/>
      <c r="D28" s="8"/>
      <c r="E28" s="8"/>
      <c r="F28" s="8"/>
      <c r="G28" s="95" t="s">
        <v>24</v>
      </c>
      <c r="H28" s="96"/>
      <c r="I28" s="96"/>
      <c r="J28" s="97">
        <f>K27/G6</f>
        <v>62.249690500056332</v>
      </c>
      <c r="K28" s="98"/>
    </row>
  </sheetData>
  <mergeCells count="24">
    <mergeCell ref="G9:H9"/>
    <mergeCell ref="G25:I25"/>
    <mergeCell ref="J25:K25"/>
    <mergeCell ref="G28:I28"/>
    <mergeCell ref="J28:K28"/>
    <mergeCell ref="G13:H13"/>
    <mergeCell ref="G26:H26"/>
    <mergeCell ref="G24:H24"/>
    <mergeCell ref="B2:I2"/>
    <mergeCell ref="F4:F5"/>
    <mergeCell ref="G10:H10"/>
    <mergeCell ref="G23:H23"/>
    <mergeCell ref="G22:H22"/>
    <mergeCell ref="G21:H21"/>
    <mergeCell ref="G20:H20"/>
    <mergeCell ref="G19:H19"/>
    <mergeCell ref="G18:H18"/>
    <mergeCell ref="G17:H17"/>
    <mergeCell ref="G15:H15"/>
    <mergeCell ref="G12:H12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Aufgaben-Werte </vt:lpstr>
      <vt:lpstr>Tagesberechnung</vt:lpstr>
      <vt:lpstr>SVS</vt:lpstr>
      <vt:lpstr>'Aufgaben-Werte '!OLE_LINK4</vt:lpstr>
      <vt:lpstr>SVS!OLE_LINK4</vt:lpstr>
      <vt:lpstr>Tagesberechnung!OLE_LINK4</vt:lpstr>
    </vt:vector>
  </TitlesOfParts>
  <Company>HWK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</dc:creator>
  <cp:lastModifiedBy>AHeuwes</cp:lastModifiedBy>
  <cp:lastPrinted>2017-01-30T09:16:44Z</cp:lastPrinted>
  <dcterms:created xsi:type="dcterms:W3CDTF">2017-01-18T07:35:46Z</dcterms:created>
  <dcterms:modified xsi:type="dcterms:W3CDTF">2021-02-19T11:09:12Z</dcterms:modified>
</cp:coreProperties>
</file>